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ORIGINAL" sheetId="1" r:id="rId1"/>
    <sheet name="COMPONENT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<sst xmlns="http://schemas.openxmlformats.org/spreadsheetml/2006/main" count="116" uniqueCount="85">
  <si>
    <t>Cantidad</t>
  </si>
  <si>
    <t>Detalle</t>
  </si>
  <si>
    <t>Total</t>
  </si>
  <si>
    <t>Precio</t>
  </si>
  <si>
    <t>Unitario</t>
  </si>
  <si>
    <t>PLANES DE PAGOS</t>
  </si>
  <si>
    <t>Cuotas</t>
  </si>
  <si>
    <t>Interes</t>
  </si>
  <si>
    <t xml:space="preserve">                 Cuotas de pesos</t>
  </si>
  <si>
    <t>Av. Gonzalez Lelong Nº 1055 - CP. 3600 - FORMOSA</t>
  </si>
  <si>
    <t xml:space="preserve">Fecha: </t>
  </si>
  <si>
    <t>TOTAL</t>
  </si>
  <si>
    <t xml:space="preserve">TOTAL </t>
  </si>
  <si>
    <t>Sub Total</t>
  </si>
  <si>
    <t>DESCUENTO ESPECIAL</t>
  </si>
  <si>
    <t>FORMOSA</t>
  </si>
  <si>
    <t>DÓLAR</t>
  </si>
  <si>
    <t>AJUSTE</t>
  </si>
  <si>
    <t>CODFIC.</t>
  </si>
  <si>
    <t>PRECIO</t>
  </si>
  <si>
    <t>COSTO</t>
  </si>
  <si>
    <t>Vigencia hasta el :</t>
  </si>
  <si>
    <t>Cód.</t>
  </si>
  <si>
    <t>Nro.</t>
  </si>
  <si>
    <t>Concepto</t>
  </si>
  <si>
    <t>Te. 03717 - 429977     -    E - Mail:  alerta@alertaseguridad.com</t>
  </si>
  <si>
    <t>VGA</t>
  </si>
  <si>
    <t>Convertidor de VGA - Conecta las DVR CP-CAM a monit. VGA</t>
  </si>
  <si>
    <t>ORDEN</t>
  </si>
  <si>
    <t>CODIGO</t>
  </si>
  <si>
    <t>PRESUPUESTO DE VIDEO GRABACION</t>
  </si>
  <si>
    <t>Incluye Conección a Internet y Soporte Técnico</t>
  </si>
  <si>
    <t>I</t>
  </si>
  <si>
    <t>LS</t>
  </si>
  <si>
    <t>Luces de Seguridad Automáticas con Lámpara de 300 Watts</t>
  </si>
  <si>
    <t>A</t>
  </si>
  <si>
    <t>Anticipo en Efvo.</t>
  </si>
  <si>
    <t>B</t>
  </si>
  <si>
    <t>Bonificación 10% Sobre Anticipo por DESCUENTO ESPECIAL</t>
  </si>
  <si>
    <t>ANTICIPO</t>
  </si>
  <si>
    <t>Cámara COLOR - ANGULO AMPLIO - VISION NOCTURNA</t>
  </si>
  <si>
    <t>PORCENT.</t>
  </si>
  <si>
    <t>I.V.A.</t>
  </si>
  <si>
    <t>LISTA U$S</t>
  </si>
  <si>
    <t>LISTA $</t>
  </si>
  <si>
    <t>COSTO + I.V.A.</t>
  </si>
  <si>
    <t>Disco Rígido de 500 GB</t>
  </si>
  <si>
    <t>Videograbadora para 8 Càmaras de video - Control Remoto; Graba por detección de movimiento. NO NECESITA PC</t>
  </si>
  <si>
    <t>Videograbadora para 16 Càmaras de video - Control Remoto; Graba por detección de movimiento. NO NECESITA PC</t>
  </si>
  <si>
    <t>TC</t>
  </si>
  <si>
    <t>Transcodificador</t>
  </si>
  <si>
    <t>PRESUPUESTO</t>
  </si>
  <si>
    <t>Videograbadora para 4 Càmaras de video - Incluye Disco Rígido de 500 GB - Graba por detección de movimiento. NO NECESITA PC</t>
  </si>
  <si>
    <t>Pesos</t>
  </si>
  <si>
    <t>Desc. Esp.</t>
  </si>
  <si>
    <t>PLANES ESPECIALES</t>
  </si>
  <si>
    <t xml:space="preserve">                 Cuotas Fijas Ajustables (Dto. 10% Pago en Término)</t>
  </si>
  <si>
    <t>V4</t>
  </si>
  <si>
    <t>V8</t>
  </si>
  <si>
    <t>V16</t>
  </si>
  <si>
    <t>C-DC</t>
  </si>
  <si>
    <t>C-LED</t>
  </si>
  <si>
    <t>C-LV</t>
  </si>
  <si>
    <t>Cámara COLOR - Angulo Ajustable por Lente Varifocal</t>
  </si>
  <si>
    <t>DR500</t>
  </si>
  <si>
    <t>Disco Rígido de 1 T</t>
  </si>
  <si>
    <t>DR1000</t>
  </si>
  <si>
    <t>DVR</t>
  </si>
  <si>
    <t>Video para 4 Cámaras  - VISUALIZACION POR RED/ INTERNET</t>
  </si>
  <si>
    <t>CAJA</t>
  </si>
  <si>
    <t>Caja Alta Seguridad - Empotrar c/ Clave - 31 x 41 x 20</t>
  </si>
  <si>
    <t>BAT</t>
  </si>
  <si>
    <t>Cambio de Batería de Resguardo</t>
  </si>
  <si>
    <t>SERV</t>
  </si>
  <si>
    <t>Recomposición de Cámara y Portero</t>
  </si>
  <si>
    <t>DOMO</t>
  </si>
  <si>
    <t>Domo COLOR -  360° - ZOOM X22</t>
  </si>
  <si>
    <t>D500</t>
  </si>
  <si>
    <t>D1000</t>
  </si>
  <si>
    <t>C-D</t>
  </si>
  <si>
    <t>Domo COLOR -  Visión ANGULO AMPLIO - Interior</t>
  </si>
  <si>
    <t>C-B</t>
  </si>
  <si>
    <t>D500-</t>
  </si>
  <si>
    <t>D1000-</t>
  </si>
  <si>
    <t xml:space="preserve">Sr. 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</si>
</sst>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[$$-2C0A]\ #,##0"/>
    <numFmt numFmtId="185" formatCode="0.0000"/>
    <numFmt numFmtId="186" formatCode="[$$-2C0A]\ #,##0.00"/>
    <numFmt numFmtId="187" formatCode="[$$-2C0A]\ #,##0.00;[Red][$$-2C0A]\ \-#,##0.00"/>
    <numFmt numFmtId="188" formatCode="[$$-1409]#,##0.00"/>
    <numFmt numFmtId="189" formatCode="00000"/>
    <numFmt numFmtId="190" formatCode="000"/>
    <numFmt numFmtId="191" formatCode="[$U$S]\ #,##0.00"/>
    <numFmt numFmtId="192" formatCode="[$$-2C0A]\ #,##0;[Red][$$-2C0A]\ \-#,##0"/>
    <numFmt numFmtId="193" formatCode="[$$-2C0A]\ #,##0.000;[Red][$$-2C0A]\ \-#,##0.000"/>
    <numFmt numFmtId="194" formatCode="[$$-2C0A]\ #,##0.0;[Red][$$-2C0A]\ \-#,##0.0"/>
    <numFmt numFmtId="195" formatCode="&quot;$&quot;\ #,##0.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color indexed="43"/>
      <name val="Arial"/>
      <family val="2"/>
    </font>
    <font>
      <b/>
      <sz val="9"/>
      <color indexed="9"/>
      <name val="Arial"/>
      <family val="2"/>
    </font>
    <font>
      <i/>
      <sz val="10"/>
      <color indexed="12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3">
    <xf numFmtId="0" fontId="0" fillId="0" borderId="0" xfId="0" applyAlignment="1">
      <alignment/>
    </xf>
    <xf numFmtId="190" fontId="19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90" fontId="19" fillId="0" borderId="0" xfId="54" applyNumberFormat="1" applyFont="1" applyFill="1" applyBorder="1" applyAlignment="1" applyProtection="1">
      <alignment horizontal="center" vertical="center"/>
      <protection/>
    </xf>
    <xf numFmtId="189" fontId="16" fillId="33" borderId="11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89" fontId="21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/>
    </xf>
    <xf numFmtId="189" fontId="21" fillId="0" borderId="0" xfId="0" applyNumberFormat="1" applyFont="1" applyFill="1" applyBorder="1" applyAlignment="1" applyProtection="1">
      <alignment horizontal="center" vertical="center"/>
      <protection/>
    </xf>
    <xf numFmtId="189" fontId="21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/>
    </xf>
    <xf numFmtId="190" fontId="19" fillId="0" borderId="10" xfId="54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/>
      <protection/>
    </xf>
    <xf numFmtId="190" fontId="19" fillId="0" borderId="10" xfId="0" applyNumberFormat="1" applyFont="1" applyBorder="1" applyAlignment="1">
      <alignment/>
    </xf>
    <xf numFmtId="187" fontId="19" fillId="0" borderId="10" xfId="0" applyNumberFormat="1" applyFont="1" applyBorder="1" applyAlignment="1">
      <alignment horizontal="left"/>
    </xf>
    <xf numFmtId="191" fontId="19" fillId="0" borderId="10" xfId="0" applyNumberFormat="1" applyFont="1" applyBorder="1" applyAlignment="1">
      <alignment horizontal="left"/>
    </xf>
    <xf numFmtId="9" fontId="19" fillId="0" borderId="10" xfId="0" applyNumberFormat="1" applyFont="1" applyBorder="1" applyAlignment="1">
      <alignment horizontal="center"/>
    </xf>
    <xf numFmtId="190" fontId="19" fillId="0" borderId="13" xfId="0" applyNumberFormat="1" applyFont="1" applyBorder="1" applyAlignment="1">
      <alignment/>
    </xf>
    <xf numFmtId="0" fontId="19" fillId="0" borderId="10" xfId="0" applyNumberFormat="1" applyFont="1" applyFill="1" applyBorder="1" applyAlignment="1" applyProtection="1">
      <alignment/>
      <protection/>
    </xf>
    <xf numFmtId="187" fontId="19" fillId="0" borderId="10" xfId="0" applyNumberFormat="1" applyFont="1" applyBorder="1" applyAlignment="1">
      <alignment/>
    </xf>
    <xf numFmtId="190" fontId="19" fillId="0" borderId="14" xfId="0" applyNumberFormat="1" applyFont="1" applyBorder="1" applyAlignment="1">
      <alignment/>
    </xf>
    <xf numFmtId="190" fontId="19" fillId="0" borderId="10" xfId="0" applyNumberFormat="1" applyFont="1" applyBorder="1" applyAlignment="1">
      <alignment horizontal="center"/>
    </xf>
    <xf numFmtId="191" fontId="19" fillId="0" borderId="0" xfId="0" applyNumberFormat="1" applyFont="1" applyBorder="1" applyAlignment="1">
      <alignment horizontal="left"/>
    </xf>
    <xf numFmtId="187" fontId="19" fillId="0" borderId="0" xfId="0" applyNumberFormat="1" applyFont="1" applyAlignment="1">
      <alignment/>
    </xf>
    <xf numFmtId="192" fontId="19" fillId="0" borderId="0" xfId="0" applyNumberFormat="1" applyFont="1" applyAlignment="1">
      <alignment horizontal="center"/>
    </xf>
    <xf numFmtId="192" fontId="19" fillId="0" borderId="10" xfId="0" applyNumberFormat="1" applyFont="1" applyBorder="1" applyAlignment="1">
      <alignment horizontal="left"/>
    </xf>
    <xf numFmtId="9" fontId="19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192" fontId="5" fillId="0" borderId="1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Alignment="1" applyProtection="1">
      <alignment/>
      <protection/>
    </xf>
    <xf numFmtId="186" fontId="0" fillId="0" borderId="10" xfId="50" applyNumberFormat="1" applyFont="1" applyBorder="1" applyAlignment="1" applyProtection="1">
      <alignment horizontal="center"/>
      <protection/>
    </xf>
    <xf numFmtId="187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92" fontId="5" fillId="0" borderId="1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86" fontId="9" fillId="36" borderId="20" xfId="0" applyNumberFormat="1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92" fontId="5" fillId="0" borderId="15" xfId="0" applyNumberFormat="1" applyFont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right"/>
      <protection/>
    </xf>
    <xf numFmtId="192" fontId="5" fillId="34" borderId="25" xfId="0" applyNumberFormat="1" applyFont="1" applyFill="1" applyBorder="1" applyAlignment="1" applyProtection="1">
      <alignment/>
      <protection/>
    </xf>
    <xf numFmtId="192" fontId="5" fillId="34" borderId="25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0" fillId="0" borderId="0" xfId="50" applyNumberFormat="1" applyFont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right"/>
      <protection/>
    </xf>
    <xf numFmtId="9" fontId="23" fillId="0" borderId="24" xfId="54" applyFont="1" applyFill="1" applyBorder="1" applyAlignment="1" applyProtection="1">
      <alignment horizontal="center"/>
      <protection/>
    </xf>
    <xf numFmtId="184" fontId="23" fillId="0" borderId="25" xfId="0" applyNumberFormat="1" applyFont="1" applyFill="1" applyBorder="1" applyAlignment="1" applyProtection="1">
      <alignment horizontal="center"/>
      <protection/>
    </xf>
    <xf numFmtId="188" fontId="0" fillId="0" borderId="0" xfId="0" applyNumberFormat="1" applyAlignment="1" applyProtection="1">
      <alignment/>
      <protection/>
    </xf>
    <xf numFmtId="9" fontId="0" fillId="0" borderId="0" xfId="54" applyFont="1" applyAlignment="1" applyProtection="1">
      <alignment horizontal="center"/>
      <protection/>
    </xf>
    <xf numFmtId="9" fontId="20" fillId="35" borderId="26" xfId="54" applyFont="1" applyFill="1" applyBorder="1" applyAlignment="1" applyProtection="1">
      <alignment horizontal="center"/>
      <protection/>
    </xf>
    <xf numFmtId="184" fontId="5" fillId="37" borderId="10" xfId="0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14" fillId="34" borderId="27" xfId="0" applyFont="1" applyFill="1" applyBorder="1" applyAlignment="1" applyProtection="1">
      <alignment horizontal="right"/>
      <protection/>
    </xf>
    <xf numFmtId="9" fontId="14" fillId="34" borderId="27" xfId="54" applyFont="1" applyFill="1" applyBorder="1" applyAlignment="1" applyProtection="1">
      <alignment horizontal="center"/>
      <protection/>
    </xf>
    <xf numFmtId="192" fontId="22" fillId="34" borderId="14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" fillId="0" borderId="2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9" fontId="0" fillId="35" borderId="10" xfId="54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9" fontId="0" fillId="35" borderId="33" xfId="0" applyNumberFormat="1" applyFill="1" applyBorder="1" applyAlignment="1" applyProtection="1">
      <alignment horizontal="center"/>
      <protection/>
    </xf>
    <xf numFmtId="9" fontId="0" fillId="35" borderId="16" xfId="0" applyNumberForma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/>
      <protection/>
    </xf>
    <xf numFmtId="184" fontId="4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5" fontId="15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0" fontId="65" fillId="0" borderId="24" xfId="0" applyFont="1" applyFill="1" applyBorder="1" applyAlignment="1" applyProtection="1">
      <alignment horizontal="right"/>
      <protection/>
    </xf>
    <xf numFmtId="9" fontId="65" fillId="0" borderId="24" xfId="54" applyFont="1" applyFill="1" applyBorder="1" applyAlignment="1" applyProtection="1">
      <alignment horizontal="center"/>
      <protection/>
    </xf>
    <xf numFmtId="192" fontId="65" fillId="0" borderId="25" xfId="0" applyNumberFormat="1" applyFont="1" applyFill="1" applyBorder="1" applyAlignment="1" applyProtection="1">
      <alignment horizontal="center"/>
      <protection/>
    </xf>
    <xf numFmtId="192" fontId="4" fillId="0" borderId="36" xfId="0" applyNumberFormat="1" applyFont="1" applyBorder="1" applyAlignment="1" applyProtection="1">
      <alignment horizontal="center"/>
      <protection/>
    </xf>
    <xf numFmtId="192" fontId="4" fillId="0" borderId="37" xfId="0" applyNumberFormat="1" applyFont="1" applyBorder="1" applyAlignment="1" applyProtection="1">
      <alignment horizontal="center"/>
      <protection/>
    </xf>
    <xf numFmtId="192" fontId="4" fillId="0" borderId="38" xfId="0" applyNumberFormat="1" applyFont="1" applyBorder="1" applyAlignment="1" applyProtection="1">
      <alignment horizontal="center"/>
      <protection/>
    </xf>
    <xf numFmtId="184" fontId="9" fillId="38" borderId="0" xfId="0" applyNumberFormat="1" applyFont="1" applyFill="1" applyBorder="1" applyAlignment="1" applyProtection="1">
      <alignment horizontal="center"/>
      <protection/>
    </xf>
    <xf numFmtId="0" fontId="66" fillId="0" borderId="39" xfId="0" applyFont="1" applyFill="1" applyBorder="1" applyAlignment="1" applyProtection="1">
      <alignment horizontal="center" wrapText="1"/>
      <protection/>
    </xf>
    <xf numFmtId="192" fontId="66" fillId="38" borderId="39" xfId="0" applyNumberFormat="1" applyFont="1" applyFill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left"/>
      <protection/>
    </xf>
    <xf numFmtId="184" fontId="68" fillId="0" borderId="0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192" fontId="67" fillId="0" borderId="0" xfId="0" applyNumberFormat="1" applyFont="1" applyBorder="1" applyAlignment="1" applyProtection="1">
      <alignment horizontal="center"/>
      <protection/>
    </xf>
    <xf numFmtId="192" fontId="67" fillId="38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2847975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952875" y="0"/>
          <a:ext cx="2428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 importes de las CUOTAS y los PAGARÉS están expresados para pagos en “PESOS”.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Las cuotas pagadas TOTALMENTE y EN TÉRMINO tienen un 10% DE DESCUENTO.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81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PRESUPUESTO EXPRESADO EN PESOS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381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PRESUPUESTO EXPRESADO EN PESOS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twoCellAnchor>
    <xdr:from>
      <xdr:col>2</xdr:col>
      <xdr:colOff>2867025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971925" y="0"/>
          <a:ext cx="2409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 importes de las CUOTAS y los PAGARÉS están expresados para pagos en “PESOS”.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Las cuotas pagadas TOTALMENTE y EN TÉRMINO tienen un 10% DE DESCUENTO.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2847975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952875" y="0"/>
          <a:ext cx="2428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 importes de las CUOTAS y los PAGARÉS están expresados para pagos en “PESOS”.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Las cuotas pagadas TOTALMENTE y EN TÉRMINO tienen un 10% DE DESCUENTO.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6381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PRESUPUESTO EXPRESADO EN PESOS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twoCellAnchor>
    <xdr:from>
      <xdr:col>2</xdr:col>
      <xdr:colOff>2847975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3952875" y="0"/>
          <a:ext cx="2428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 importes de las CUOTAS y los PAGARÉS están expresados para pagos en “PESOS”.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Las cuotas pagadas TOTALMENTE y EN TÉRMINO tienen un 10% DE DESCUENTO.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6381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PRESUPUESTO EXPRESADO EN PESOS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10</xdr:col>
      <xdr:colOff>704850</xdr:colOff>
      <xdr:row>1</xdr:row>
      <xdr:rowOff>85725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6381750" y="0"/>
          <a:ext cx="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 importes de las CUOTAS y los PAGARÉS están expresados para pagos en “PESOS”.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Las cuotas pagadas TOTALMENTE y EN TÉRMINO tienen un 10% DE DESCUENTO.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nte\c\Alerta\Presupuestos\Marcelo%20Ferr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definedNames>
      <definedName name="Imprimi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showGridLines="0" tabSelected="1" zoomScalePageLayoutView="0" workbookViewId="0" topLeftCell="A1">
      <selection activeCell="T3" sqref="T3"/>
    </sheetView>
  </sheetViews>
  <sheetFormatPr defaultColWidth="9.140625" defaultRowHeight="12.75"/>
  <cols>
    <col min="1" max="1" width="8.7109375" style="31" customWidth="1"/>
    <col min="2" max="2" width="7.8515625" style="31" customWidth="1"/>
    <col min="3" max="3" width="55.7109375" style="31" customWidth="1"/>
    <col min="4" max="5" width="11.7109375" style="31" customWidth="1"/>
    <col min="6" max="8" width="12.7109375" style="31" hidden="1" customWidth="1"/>
    <col min="9" max="10" width="12.7109375" style="32" hidden="1" customWidth="1"/>
    <col min="11" max="11" width="10.7109375" style="31" hidden="1" customWidth="1"/>
    <col min="12" max="12" width="9.140625" style="31" hidden="1" customWidth="1"/>
    <col min="13" max="13" width="11.00390625" style="31" hidden="1" customWidth="1"/>
    <col min="14" max="15" width="9.140625" style="31" hidden="1" customWidth="1"/>
    <col min="16" max="16" width="9.7109375" style="31" hidden="1" customWidth="1"/>
    <col min="17" max="16384" width="9.140625" style="31" customWidth="1"/>
  </cols>
  <sheetData>
    <row r="1" ht="75" customHeight="1" thickBot="1"/>
    <row r="2" spans="1:9" ht="15.75">
      <c r="A2" s="33" t="s">
        <v>9</v>
      </c>
      <c r="B2" s="33" t="s">
        <v>9</v>
      </c>
      <c r="D2" s="34"/>
      <c r="E2" s="35"/>
      <c r="H2" s="6" t="s">
        <v>23</v>
      </c>
      <c r="I2" s="6"/>
    </row>
    <row r="3" spans="1:9" ht="15.75">
      <c r="A3" s="36" t="s">
        <v>25</v>
      </c>
      <c r="B3" s="33"/>
      <c r="D3" s="37"/>
      <c r="E3" s="38"/>
      <c r="H3" s="1" t="s">
        <v>57</v>
      </c>
      <c r="I3" s="14" t="s">
        <v>33</v>
      </c>
    </row>
    <row r="4" spans="8:9" ht="12.75">
      <c r="H4" s="1" t="s">
        <v>58</v>
      </c>
      <c r="I4" s="14" t="s">
        <v>32</v>
      </c>
    </row>
    <row r="5" spans="3:9" ht="12.75">
      <c r="C5" s="39" t="s">
        <v>10</v>
      </c>
      <c r="D5" s="40">
        <f ca="1">TODAY()</f>
        <v>40882</v>
      </c>
      <c r="H5" s="1" t="s">
        <v>59</v>
      </c>
      <c r="I5" s="14" t="s">
        <v>35</v>
      </c>
    </row>
    <row r="6" spans="3:9" ht="12.75">
      <c r="C6" s="39" t="s">
        <v>21</v>
      </c>
      <c r="D6" s="40">
        <f>D5+7</f>
        <v>40889</v>
      </c>
      <c r="H6" s="1" t="s">
        <v>60</v>
      </c>
      <c r="I6" s="14" t="s">
        <v>37</v>
      </c>
    </row>
    <row r="7" spans="1:8" ht="12.75">
      <c r="A7" s="41"/>
      <c r="B7" s="117" t="s">
        <v>84</v>
      </c>
      <c r="C7" s="41"/>
      <c r="H7" s="1" t="s">
        <v>62</v>
      </c>
    </row>
    <row r="8" spans="1:8" ht="12.75">
      <c r="A8" s="36"/>
      <c r="B8" s="36"/>
      <c r="C8" s="36"/>
      <c r="D8" s="42"/>
      <c r="H8" s="1" t="s">
        <v>61</v>
      </c>
    </row>
    <row r="9" spans="1:11" ht="12.75">
      <c r="A9" s="36"/>
      <c r="B9" s="36" t="s">
        <v>15</v>
      </c>
      <c r="C9" s="36"/>
      <c r="D9" s="42"/>
      <c r="H9" s="1" t="s">
        <v>26</v>
      </c>
      <c r="K9" s="32" t="s">
        <v>16</v>
      </c>
    </row>
    <row r="10" spans="8:11" ht="12.75">
      <c r="H10" s="1" t="s">
        <v>49</v>
      </c>
      <c r="K10" s="32">
        <v>1</v>
      </c>
    </row>
    <row r="11" spans="3:12" ht="12.75">
      <c r="C11" s="43" t="s">
        <v>30</v>
      </c>
      <c r="H11" s="1" t="s">
        <v>64</v>
      </c>
      <c r="K11" s="32" t="s">
        <v>17</v>
      </c>
      <c r="L11" s="31" t="s">
        <v>18</v>
      </c>
    </row>
    <row r="12" spans="8:12" ht="12.75">
      <c r="H12" s="1" t="s">
        <v>66</v>
      </c>
      <c r="J12" s="32">
        <v>1</v>
      </c>
      <c r="K12" s="44">
        <v>2</v>
      </c>
      <c r="L12" s="31">
        <v>0.8928571</v>
      </c>
    </row>
    <row r="13" spans="1:10" ht="12.75" customHeight="1">
      <c r="A13" s="45" t="s">
        <v>22</v>
      </c>
      <c r="B13" s="45" t="s">
        <v>0</v>
      </c>
      <c r="C13" s="45" t="s">
        <v>1</v>
      </c>
      <c r="D13" s="45" t="s">
        <v>3</v>
      </c>
      <c r="E13" s="45" t="s">
        <v>2</v>
      </c>
      <c r="H13" s="5"/>
      <c r="J13" s="46">
        <v>1</v>
      </c>
    </row>
    <row r="14" spans="1:11" ht="12.75">
      <c r="A14" s="47"/>
      <c r="B14" s="47"/>
      <c r="C14" s="47"/>
      <c r="D14" s="47" t="s">
        <v>4</v>
      </c>
      <c r="E14" s="47"/>
      <c r="F14" s="31">
        <f>1474*3/4</f>
        <v>1105.5</v>
      </c>
      <c r="J14" s="32" t="s">
        <v>19</v>
      </c>
      <c r="K14" s="31" t="s">
        <v>20</v>
      </c>
    </row>
    <row r="15" spans="1:13" ht="39" customHeight="1">
      <c r="A15" s="3" t="s">
        <v>57</v>
      </c>
      <c r="B15" s="4">
        <v>1</v>
      </c>
      <c r="C15" s="48" t="str">
        <f>IF(A15="","",VLOOKUP(A15,COMPONENTES!$B$6:$C$109,2,FALSE))</f>
        <v>Videograbadora para 4 Càmaras de video - Incluye Disco Rígido de 500 GB - Graba por detección de movimiento. NO NECESITA PC</v>
      </c>
      <c r="D15" s="49">
        <f>IF(B15&gt;0,G15,"")</f>
        <v>4970.143829999999</v>
      </c>
      <c r="E15" s="49">
        <f>IF(B15&gt;0,B15*D15,"")</f>
        <v>4970.143829999999</v>
      </c>
      <c r="F15" s="50">
        <f>IF(B15="","",(E15*0.9)/B15)</f>
        <v>4473.129446999999</v>
      </c>
      <c r="G15" s="51">
        <f aca="true" t="shared" si="0" ref="G15:G25">I15*$J$12</f>
        <v>4970.143829999999</v>
      </c>
      <c r="H15" s="51">
        <f aca="true" t="shared" si="1" ref="H15:H26">G15*B15</f>
        <v>4970.143829999999</v>
      </c>
      <c r="I15" s="52">
        <f>J15/$J$13</f>
        <v>4970.143829999999</v>
      </c>
      <c r="J15" s="52">
        <f>(K15*$K$10)*(1+L15)</f>
        <v>4970.143829999999</v>
      </c>
      <c r="K15" s="52">
        <f>IF(A15="","0",VLOOKUP(A15,COMPONENTES!$D$6:$E$109,2,FALSE))</f>
        <v>4970.143829999999</v>
      </c>
      <c r="L15" s="53">
        <v>0</v>
      </c>
      <c r="M15" s="54">
        <f>(K15*B15)*$K$10</f>
        <v>4970.143829999999</v>
      </c>
    </row>
    <row r="16" spans="1:13" ht="12.75">
      <c r="A16" s="55" t="s">
        <v>79</v>
      </c>
      <c r="B16" s="2">
        <v>1</v>
      </c>
      <c r="C16" s="55" t="str">
        <f>IF(A16="","",VLOOKUP(A16,COMPONENTES!$B$6:$C$109,2,FALSE))</f>
        <v>Domo COLOR -  Visión ANGULO AMPLIO - Interior</v>
      </c>
      <c r="D16" s="56">
        <f aca="true" t="shared" si="2" ref="D16:D26">IF(B16&gt;0,G16,"")</f>
        <v>1245.8159999999998</v>
      </c>
      <c r="E16" s="56">
        <f>IF(B16&gt;0,B16*D16,"")</f>
        <v>1245.8159999999998</v>
      </c>
      <c r="F16" s="50">
        <f aca="true" t="shared" si="3" ref="F16:F25">IF(B16="","",(E16*0.9)/B16)</f>
        <v>1121.2343999999998</v>
      </c>
      <c r="G16" s="51">
        <f>I16*$J$12</f>
        <v>1245.8159999999998</v>
      </c>
      <c r="H16" s="51">
        <f t="shared" si="1"/>
        <v>1245.8159999999998</v>
      </c>
      <c r="I16" s="52">
        <f aca="true" t="shared" si="4" ref="I16:I26">J16/$J$13</f>
        <v>1245.8159999999998</v>
      </c>
      <c r="J16" s="52">
        <f aca="true" t="shared" si="5" ref="J16:J26">(K16*$K$10)*(1+L16)</f>
        <v>1245.8159999999998</v>
      </c>
      <c r="K16" s="52">
        <f>IF(A16="","0",VLOOKUP(A16,COMPONENTES!$D$6:$E$109,2,FALSE))</f>
        <v>1245.8159999999998</v>
      </c>
      <c r="L16" s="53">
        <v>0</v>
      </c>
      <c r="M16" s="54">
        <f aca="true" t="shared" si="6" ref="M16:M26">(K16*B16)*$K$10</f>
        <v>1245.8159999999998</v>
      </c>
    </row>
    <row r="17" spans="1:13" ht="12.75">
      <c r="A17" s="55" t="s">
        <v>61</v>
      </c>
      <c r="B17" s="2">
        <v>1</v>
      </c>
      <c r="C17" s="55" t="str">
        <f>IF(A17="","",VLOOKUP(A17,COMPONENTES!$B$6:$C$109,2,FALSE))</f>
        <v>Cámara COLOR - ANGULO AMPLIO - VISION NOCTURNA</v>
      </c>
      <c r="D17" s="56">
        <f t="shared" si="2"/>
        <v>1490.01336</v>
      </c>
      <c r="E17" s="56">
        <f>IF(B17&gt;0,B17*D17,"")</f>
        <v>1490.01336</v>
      </c>
      <c r="F17" s="50">
        <f t="shared" si="3"/>
        <v>1341.0120239999999</v>
      </c>
      <c r="G17" s="51">
        <f t="shared" si="0"/>
        <v>1490.01336</v>
      </c>
      <c r="H17" s="51">
        <f t="shared" si="1"/>
        <v>1490.01336</v>
      </c>
      <c r="I17" s="52">
        <f t="shared" si="4"/>
        <v>1490.01336</v>
      </c>
      <c r="J17" s="52">
        <f t="shared" si="5"/>
        <v>1490.01336</v>
      </c>
      <c r="K17" s="52">
        <f>IF(A17="","0",VLOOKUP(A17,COMPONENTES!$D$6:$E$109,2,FALSE))</f>
        <v>1490.01336</v>
      </c>
      <c r="L17" s="53">
        <v>0</v>
      </c>
      <c r="M17" s="54">
        <f t="shared" si="6"/>
        <v>1490.01336</v>
      </c>
    </row>
    <row r="18" spans="1:13" ht="12.75">
      <c r="A18" s="55" t="s">
        <v>75</v>
      </c>
      <c r="B18" s="2"/>
      <c r="C18" s="55" t="str">
        <f>IF(A18="","",VLOOKUP(A18,COMPONENTES!$B$6:$C$109,2,FALSE))</f>
        <v>Domo COLOR -  360° - ZOOM X22</v>
      </c>
      <c r="D18" s="56">
        <f t="shared" si="2"/>
      </c>
      <c r="E18" s="56">
        <f>IF(B18&gt;0,B18*D18,"")</f>
      </c>
      <c r="F18" s="50">
        <f t="shared" si="3"/>
      </c>
      <c r="G18" s="51">
        <f>I18*$J$12</f>
        <v>9680</v>
      </c>
      <c r="H18" s="51">
        <f t="shared" si="1"/>
        <v>0</v>
      </c>
      <c r="I18" s="52">
        <f t="shared" si="4"/>
        <v>9680</v>
      </c>
      <c r="J18" s="52">
        <f t="shared" si="5"/>
        <v>9680</v>
      </c>
      <c r="K18" s="52">
        <f>IF(A18="","0",VLOOKUP(A18,COMPONENTES!$D$6:$E$109,2,FALSE))</f>
        <v>9680</v>
      </c>
      <c r="L18" s="53">
        <v>0</v>
      </c>
      <c r="M18" s="54">
        <f t="shared" si="6"/>
        <v>0</v>
      </c>
    </row>
    <row r="19" spans="1:13" ht="12.75">
      <c r="A19" s="55" t="s">
        <v>82</v>
      </c>
      <c r="B19" s="2"/>
      <c r="C19" s="55" t="str">
        <f>IF(A19="","",VLOOKUP(A19,COMPONENTES!$B$6:$C$109,2,FALSE))</f>
        <v>Disco Rígido de 500 GB</v>
      </c>
      <c r="D19" s="56">
        <f>IF(B19&gt;0,G19,"")</f>
      </c>
      <c r="E19" s="56">
        <f>IF(B19&gt;0,B19*D19,"")</f>
      </c>
      <c r="F19" s="50">
        <f t="shared" si="3"/>
      </c>
      <c r="G19" s="51">
        <f t="shared" si="0"/>
        <v>-824.985</v>
      </c>
      <c r="H19" s="51">
        <f>G19*B19</f>
        <v>0</v>
      </c>
      <c r="I19" s="52">
        <f t="shared" si="4"/>
        <v>-824.985</v>
      </c>
      <c r="J19" s="52">
        <f t="shared" si="5"/>
        <v>-824.985</v>
      </c>
      <c r="K19" s="52">
        <f>IF(A19="","0",VLOOKUP(A19,COMPONENTES!$D$6:$E$109,2,FALSE))</f>
        <v>-824.985</v>
      </c>
      <c r="L19" s="53">
        <v>0</v>
      </c>
      <c r="M19" s="54">
        <f t="shared" si="6"/>
        <v>0</v>
      </c>
    </row>
    <row r="20" spans="1:16" ht="12.75">
      <c r="A20" s="55" t="s">
        <v>83</v>
      </c>
      <c r="B20" s="2"/>
      <c r="C20" s="55" t="str">
        <f>IF(A20="","",VLOOKUP(A20,COMPONENTES!$B$6:$C$109,2,FALSE))</f>
        <v>Disco Rígido de 1 T</v>
      </c>
      <c r="D20" s="56">
        <f t="shared" si="2"/>
      </c>
      <c r="E20" s="56">
        <f aca="true" t="shared" si="7" ref="E20:E26">IF(B20&gt;0,B20*D20,"")</f>
      </c>
      <c r="F20" s="50">
        <f t="shared" si="3"/>
      </c>
      <c r="G20" s="51">
        <f t="shared" si="0"/>
        <v>-1165.185</v>
      </c>
      <c r="H20" s="51">
        <f t="shared" si="1"/>
        <v>0</v>
      </c>
      <c r="I20" s="52">
        <f t="shared" si="4"/>
        <v>-1165.185</v>
      </c>
      <c r="J20" s="52">
        <f t="shared" si="5"/>
        <v>-1165.185</v>
      </c>
      <c r="K20" s="52">
        <f>IF(A20="","0",VLOOKUP(A20,COMPONENTES!$D$6:$E$109,2,FALSE))</f>
        <v>-1165.185</v>
      </c>
      <c r="L20" s="53">
        <v>0</v>
      </c>
      <c r="M20" s="54">
        <f t="shared" si="6"/>
        <v>0</v>
      </c>
      <c r="P20" s="57"/>
    </row>
    <row r="21" spans="1:13" ht="12.75">
      <c r="A21" s="55"/>
      <c r="B21" s="2"/>
      <c r="C21" s="55">
        <f>IF(A21="","",VLOOKUP(A21,COMPONENTES!$B$6:$C$109,2,FALSE))</f>
      </c>
      <c r="D21" s="56">
        <f t="shared" si="2"/>
      </c>
      <c r="E21" s="56">
        <f t="shared" si="7"/>
      </c>
      <c r="F21" s="50">
        <f t="shared" si="3"/>
      </c>
      <c r="G21" s="51">
        <f t="shared" si="0"/>
        <v>0</v>
      </c>
      <c r="H21" s="51">
        <f t="shared" si="1"/>
        <v>0</v>
      </c>
      <c r="I21" s="52">
        <f t="shared" si="4"/>
        <v>0</v>
      </c>
      <c r="J21" s="52">
        <f t="shared" si="5"/>
        <v>0</v>
      </c>
      <c r="K21" s="52" t="str">
        <f>IF(A21="","0",VLOOKUP(A21,COMPONENTES!$D$6:$E$109,2,FALSE))</f>
        <v>0</v>
      </c>
      <c r="L21" s="53">
        <v>0</v>
      </c>
      <c r="M21" s="54">
        <f t="shared" si="6"/>
        <v>0</v>
      </c>
    </row>
    <row r="22" spans="1:13" ht="13.5" thickBot="1">
      <c r="A22" s="55"/>
      <c r="B22" s="2"/>
      <c r="C22" s="55">
        <f>IF(A22="","",VLOOKUP(A22,COMPONENTES!$B$6:$C$109,2,FALSE))</f>
      </c>
      <c r="D22" s="56">
        <f t="shared" si="2"/>
      </c>
      <c r="E22" s="56">
        <f t="shared" si="7"/>
      </c>
      <c r="F22" s="50">
        <f t="shared" si="3"/>
      </c>
      <c r="G22" s="51">
        <f t="shared" si="0"/>
        <v>0</v>
      </c>
      <c r="H22" s="51">
        <f>G22*B22</f>
        <v>0</v>
      </c>
      <c r="I22" s="52">
        <f t="shared" si="4"/>
        <v>0</v>
      </c>
      <c r="J22" s="52">
        <f t="shared" si="5"/>
        <v>0</v>
      </c>
      <c r="K22" s="52" t="str">
        <f>IF(A22="","0",VLOOKUP(A22,COMPONENTES!$D$6:$E$109,2,FALSE))</f>
        <v>0</v>
      </c>
      <c r="L22" s="53">
        <v>0</v>
      </c>
      <c r="M22" s="54">
        <f t="shared" si="6"/>
        <v>0</v>
      </c>
    </row>
    <row r="23" spans="1:16" ht="13.5" thickBot="1">
      <c r="A23" s="55"/>
      <c r="B23" s="2"/>
      <c r="C23" s="55">
        <f>IF(A23="","",VLOOKUP(A23,COMPONENTES!$B$6:$C$109,2,FALSE))</f>
      </c>
      <c r="D23" s="56">
        <f t="shared" si="2"/>
      </c>
      <c r="E23" s="56">
        <f t="shared" si="7"/>
      </c>
      <c r="F23" s="50">
        <f t="shared" si="3"/>
      </c>
      <c r="G23" s="51">
        <f t="shared" si="0"/>
        <v>0</v>
      </c>
      <c r="H23" s="51">
        <f t="shared" si="1"/>
        <v>0</v>
      </c>
      <c r="I23" s="52">
        <f t="shared" si="4"/>
        <v>0</v>
      </c>
      <c r="J23" s="52">
        <f t="shared" si="5"/>
        <v>0</v>
      </c>
      <c r="K23" s="52" t="str">
        <f>IF(A23="","0",VLOOKUP(A23,COMPONENTES!$D$6:$E$109,2,FALSE))</f>
        <v>0</v>
      </c>
      <c r="L23" s="53">
        <v>0</v>
      </c>
      <c r="M23" s="54">
        <f t="shared" si="6"/>
        <v>0</v>
      </c>
      <c r="P23" s="58" t="s">
        <v>39</v>
      </c>
    </row>
    <row r="24" spans="1:16" ht="13.5" thickBot="1">
      <c r="A24" s="55"/>
      <c r="B24" s="2"/>
      <c r="C24" s="55">
        <f>IF(A24="","",VLOOKUP(A24,COMPONENTES!$B$6:$C$109,2,FALSE))</f>
      </c>
      <c r="D24" s="56">
        <f t="shared" si="2"/>
      </c>
      <c r="E24" s="56">
        <f t="shared" si="7"/>
      </c>
      <c r="F24" s="50">
        <f t="shared" si="3"/>
      </c>
      <c r="G24" s="51">
        <f t="shared" si="0"/>
        <v>0</v>
      </c>
      <c r="H24" s="51">
        <f>G24*B24</f>
        <v>0</v>
      </c>
      <c r="I24" s="52">
        <f t="shared" si="4"/>
        <v>0</v>
      </c>
      <c r="J24" s="52">
        <f t="shared" si="5"/>
        <v>0</v>
      </c>
      <c r="K24" s="52" t="str">
        <f>IF(A24="","0",VLOOKUP(A24,COMPONENTES!$D$6:$E$109,2,FALSE))</f>
        <v>0</v>
      </c>
      <c r="L24" s="53">
        <v>0</v>
      </c>
      <c r="M24" s="54">
        <f t="shared" si="6"/>
        <v>0</v>
      </c>
      <c r="N24" s="59">
        <f>(O24*-1)/1.244</f>
        <v>-1606.9131832797427</v>
      </c>
      <c r="O24" s="60">
        <f>P24/K10</f>
        <v>1999</v>
      </c>
      <c r="P24" s="61">
        <v>1999</v>
      </c>
    </row>
    <row r="25" spans="1:15" ht="13.5" thickBot="1">
      <c r="A25" s="55"/>
      <c r="B25" s="2"/>
      <c r="C25" s="55">
        <f>IF(A25="","",VLOOKUP(A25,COMPONENTES!$B$6:$C$109,2,FALSE))</f>
      </c>
      <c r="D25" s="56">
        <f t="shared" si="2"/>
      </c>
      <c r="E25" s="56">
        <f>IF(B25&gt;0,B25*D25,"")</f>
      </c>
      <c r="F25" s="50">
        <f t="shared" si="3"/>
      </c>
      <c r="G25" s="51">
        <f t="shared" si="0"/>
        <v>0</v>
      </c>
      <c r="H25" s="51">
        <f t="shared" si="1"/>
        <v>0</v>
      </c>
      <c r="I25" s="52">
        <f t="shared" si="4"/>
        <v>0</v>
      </c>
      <c r="J25" s="52">
        <f t="shared" si="5"/>
        <v>0</v>
      </c>
      <c r="K25" s="52" t="str">
        <f>IF(A25="","0",VLOOKUP(A25,COMPONENTES!$D$6:$E$109,2,FALSE))</f>
        <v>0</v>
      </c>
      <c r="L25" s="53">
        <v>0</v>
      </c>
      <c r="M25" s="54">
        <f t="shared" si="6"/>
        <v>0</v>
      </c>
      <c r="N25" s="62">
        <f>(O25*-1)/1.244</f>
        <v>-178.54590925330473</v>
      </c>
      <c r="O25" s="63">
        <f>(O24/0.9)*10%</f>
        <v>222.1111111111111</v>
      </c>
    </row>
    <row r="26" spans="1:13" ht="12.75">
      <c r="A26" s="64" t="s">
        <v>32</v>
      </c>
      <c r="B26" s="65"/>
      <c r="C26" s="64" t="str">
        <f>IF(A26="","",VLOOKUP(A26,COMPONENTES!$B$6:$C$109,2,FALSE))</f>
        <v>Incluye Conección a Internet y Soporte Técnico</v>
      </c>
      <c r="D26" s="66">
        <f t="shared" si="2"/>
      </c>
      <c r="E26" s="56">
        <f t="shared" si="7"/>
      </c>
      <c r="G26" s="51">
        <f>I26*$J$12</f>
        <v>0</v>
      </c>
      <c r="H26" s="51">
        <f t="shared" si="1"/>
        <v>0</v>
      </c>
      <c r="I26" s="52">
        <f t="shared" si="4"/>
        <v>0</v>
      </c>
      <c r="J26" s="52">
        <f t="shared" si="5"/>
        <v>0</v>
      </c>
      <c r="K26" s="52">
        <f>IF(A26="","0",VLOOKUP(A26,COMPONENTES!$D$6:$E$109,2,FALSE))</f>
        <v>0</v>
      </c>
      <c r="L26" s="53">
        <v>0</v>
      </c>
      <c r="M26" s="54">
        <f t="shared" si="6"/>
        <v>0</v>
      </c>
    </row>
    <row r="27" spans="1:9" ht="12.75">
      <c r="A27" s="67"/>
      <c r="B27" s="68"/>
      <c r="C27" s="69" t="s">
        <v>13</v>
      </c>
      <c r="D27" s="70"/>
      <c r="E27" s="71">
        <f>SUM(E15:E26)</f>
        <v>7705.973189999999</v>
      </c>
      <c r="F27" s="72">
        <v>1904</v>
      </c>
      <c r="G27" s="73"/>
      <c r="I27" s="52"/>
    </row>
    <row r="28" spans="1:8" ht="12.75">
      <c r="A28" s="74"/>
      <c r="B28" s="75"/>
      <c r="C28" s="76" t="s">
        <v>14</v>
      </c>
      <c r="D28" s="77">
        <v>0</v>
      </c>
      <c r="E28" s="78">
        <f>E27*(1-D28)</f>
        <v>7705.973189999999</v>
      </c>
      <c r="F28" s="79">
        <f>2838*100/F27</f>
        <v>149.0546218487395</v>
      </c>
      <c r="G28" s="32" t="s">
        <v>11</v>
      </c>
      <c r="H28" s="80">
        <f>G29/E27</f>
        <v>1</v>
      </c>
    </row>
    <row r="29" spans="1:7" ht="12.75">
      <c r="A29" s="81"/>
      <c r="B29" s="75"/>
      <c r="C29" s="118" t="s">
        <v>14</v>
      </c>
      <c r="D29" s="119">
        <v>0.1</v>
      </c>
      <c r="E29" s="120">
        <f>E28*(1-D29)</f>
        <v>6935.375870999999</v>
      </c>
      <c r="F29" s="31">
        <v>1714</v>
      </c>
      <c r="G29" s="82">
        <f>SUM(H15:H26)</f>
        <v>7705.973189999999</v>
      </c>
    </row>
    <row r="30" spans="1:5" ht="12.75">
      <c r="A30" s="83"/>
      <c r="B30" s="84"/>
      <c r="C30" s="85" t="s">
        <v>12</v>
      </c>
      <c r="D30" s="86"/>
      <c r="E30" s="87">
        <f>E29*(1-D30)</f>
        <v>6935.375870999999</v>
      </c>
    </row>
    <row r="31" spans="2:5" ht="12.75">
      <c r="B31" s="88"/>
      <c r="C31" s="88"/>
      <c r="D31" s="88"/>
      <c r="E31" s="112"/>
    </row>
    <row r="32" spans="2:10" ht="12.75">
      <c r="B32" s="89" t="s">
        <v>6</v>
      </c>
      <c r="C32" s="90" t="s">
        <v>5</v>
      </c>
      <c r="D32" s="91" t="s">
        <v>53</v>
      </c>
      <c r="E32" s="125" t="s">
        <v>54</v>
      </c>
      <c r="G32" s="92"/>
      <c r="H32" s="92" t="s">
        <v>7</v>
      </c>
      <c r="I32" s="92"/>
      <c r="J32" s="92"/>
    </row>
    <row r="33" spans="2:10" ht="12.75">
      <c r="B33" s="93">
        <v>3</v>
      </c>
      <c r="C33" s="94" t="s">
        <v>8</v>
      </c>
      <c r="D33" s="121">
        <f aca="true" t="shared" si="8" ref="D33:D38">$E$27*(1+((B33-1)*$H$33))/B33</f>
        <v>2979.6429667999996</v>
      </c>
      <c r="E33" s="126">
        <f aca="true" t="shared" si="9" ref="E33:E38">D33*(1-$D$29)</f>
        <v>2681.67867012</v>
      </c>
      <c r="F33" s="72">
        <f aca="true" t="shared" si="10" ref="F33:F38">D33*B33</f>
        <v>8938.928900399998</v>
      </c>
      <c r="G33" s="95"/>
      <c r="H33" s="96">
        <v>0.08</v>
      </c>
      <c r="I33" s="97"/>
      <c r="J33" s="97"/>
    </row>
    <row r="34" spans="2:10" ht="12.75">
      <c r="B34" s="98">
        <v>5</v>
      </c>
      <c r="C34" s="99" t="s">
        <v>8</v>
      </c>
      <c r="D34" s="122">
        <f t="shared" si="8"/>
        <v>2034.37692216</v>
      </c>
      <c r="E34" s="126">
        <f t="shared" si="9"/>
        <v>1830.939229944</v>
      </c>
      <c r="F34" s="72">
        <f t="shared" si="10"/>
        <v>10171.8846108</v>
      </c>
      <c r="H34" s="96">
        <v>0.08</v>
      </c>
      <c r="I34" s="97"/>
      <c r="J34" s="97"/>
    </row>
    <row r="35" spans="2:10" ht="12.75">
      <c r="B35" s="98">
        <v>7</v>
      </c>
      <c r="C35" s="99" t="s">
        <v>8</v>
      </c>
      <c r="D35" s="122">
        <f t="shared" si="8"/>
        <v>1629.2629030285711</v>
      </c>
      <c r="E35" s="126">
        <f t="shared" si="9"/>
        <v>1466.336612725714</v>
      </c>
      <c r="F35" s="72">
        <f t="shared" si="10"/>
        <v>11404.840321199998</v>
      </c>
      <c r="H35" s="100">
        <v>0.4</v>
      </c>
      <c r="I35" s="97"/>
      <c r="J35" s="97"/>
    </row>
    <row r="36" spans="2:10" ht="12.75">
      <c r="B36" s="98">
        <v>9</v>
      </c>
      <c r="C36" s="99" t="s">
        <v>8</v>
      </c>
      <c r="D36" s="122">
        <f t="shared" si="8"/>
        <v>1404.1995590666666</v>
      </c>
      <c r="E36" s="126">
        <f t="shared" si="9"/>
        <v>1263.7796031599999</v>
      </c>
      <c r="F36" s="72">
        <f t="shared" si="10"/>
        <v>12637.796031599999</v>
      </c>
      <c r="H36" s="101">
        <f>100%-H35</f>
        <v>0.6</v>
      </c>
      <c r="I36" s="97"/>
      <c r="J36" s="97"/>
    </row>
    <row r="37" spans="2:10" ht="12.75">
      <c r="B37" s="98">
        <v>12</v>
      </c>
      <c r="C37" s="99" t="s">
        <v>8</v>
      </c>
      <c r="D37" s="122">
        <f t="shared" si="8"/>
        <v>1207.2691330999999</v>
      </c>
      <c r="E37" s="126">
        <f t="shared" si="9"/>
        <v>1086.54221979</v>
      </c>
      <c r="F37" s="72">
        <f t="shared" si="10"/>
        <v>14487.2295972</v>
      </c>
      <c r="I37" s="97"/>
      <c r="J37" s="97"/>
    </row>
    <row r="38" spans="2:10" ht="12.75">
      <c r="B38" s="102">
        <v>15</v>
      </c>
      <c r="C38" s="103" t="s">
        <v>8</v>
      </c>
      <c r="D38" s="123">
        <f t="shared" si="8"/>
        <v>1089.1108775199998</v>
      </c>
      <c r="E38" s="126">
        <f t="shared" si="9"/>
        <v>980.1997897679998</v>
      </c>
      <c r="F38" s="72">
        <f t="shared" si="10"/>
        <v>16336.663162799998</v>
      </c>
      <c r="I38" s="97"/>
      <c r="J38" s="97"/>
    </row>
    <row r="39" spans="2:10" ht="12.75">
      <c r="B39" s="104"/>
      <c r="C39" s="105"/>
      <c r="D39" s="106"/>
      <c r="E39" s="124"/>
      <c r="F39" s="72"/>
      <c r="I39" s="97"/>
      <c r="J39" s="97"/>
    </row>
    <row r="40" spans="2:10" ht="12.75">
      <c r="B40" s="127"/>
      <c r="C40" s="128"/>
      <c r="D40" s="129" t="s">
        <v>55</v>
      </c>
      <c r="E40" s="130"/>
      <c r="F40" s="72"/>
      <c r="I40" s="97"/>
      <c r="J40" s="97"/>
    </row>
    <row r="41" spans="2:10" ht="12.75">
      <c r="B41" s="127">
        <v>12</v>
      </c>
      <c r="C41" s="128" t="s">
        <v>56</v>
      </c>
      <c r="D41" s="131">
        <f>($E$27*(1+(B41*$H$34))*$H$35)/(B41/2)</f>
        <v>1006.91383016</v>
      </c>
      <c r="E41" s="132">
        <f>$E$27*(1+(B41*$H$34))*$H$36/(B41/2)</f>
        <v>1510.3707452399997</v>
      </c>
      <c r="F41" s="72">
        <f>D41*(B41/2)+E41*(B41/2)</f>
        <v>15103.707452399998</v>
      </c>
      <c r="H41" s="72"/>
      <c r="I41" s="97"/>
      <c r="J41" s="97"/>
    </row>
    <row r="42" spans="2:10" ht="12.75">
      <c r="B42" s="127">
        <v>18</v>
      </c>
      <c r="C42" s="128" t="s">
        <v>56</v>
      </c>
      <c r="D42" s="131">
        <f>($E$27*(1+(B42*$H$34))*$H$35)/(B42/2)</f>
        <v>835.6699814933331</v>
      </c>
      <c r="E42" s="132">
        <f>$E$27*(1+(B42*$H$34))*$H$36/(B42/2)</f>
        <v>1253.5049722399997</v>
      </c>
      <c r="F42" s="72">
        <f>D42*(B42/2)+E42*(B42/2)</f>
        <v>18802.574583599995</v>
      </c>
      <c r="I42" s="97"/>
      <c r="J42" s="97"/>
    </row>
    <row r="43" spans="2:10" ht="12.75">
      <c r="B43" s="127">
        <v>24</v>
      </c>
      <c r="C43" s="128" t="s">
        <v>56</v>
      </c>
      <c r="D43" s="131">
        <f>($E$27*(1+(B43*$H$34))*$H$35)/(B43/2)</f>
        <v>750.04805716</v>
      </c>
      <c r="E43" s="132">
        <f>$E$27*(1+(B43*$H$34))*$H$36/(B43/2)</f>
        <v>1125.0720857399997</v>
      </c>
      <c r="F43" s="72">
        <f>D43*(B43/2)+E43*(B43/2)</f>
        <v>22501.441714799996</v>
      </c>
      <c r="I43" s="97"/>
      <c r="J43" s="97"/>
    </row>
    <row r="44" ht="12.75">
      <c r="B44" s="107"/>
    </row>
    <row r="45" spans="2:3" ht="12.75">
      <c r="B45" s="107"/>
      <c r="C45" s="108"/>
    </row>
    <row r="46" ht="12.75">
      <c r="B46" s="107"/>
    </row>
    <row r="47" ht="12.75">
      <c r="A47" s="42"/>
    </row>
    <row r="48" ht="12.75">
      <c r="C48" s="109"/>
    </row>
    <row r="49" spans="1:3" ht="12.75">
      <c r="A49" s="42"/>
      <c r="C49" s="109"/>
    </row>
    <row r="51" ht="12.75">
      <c r="A51" s="42"/>
    </row>
    <row r="53" ht="12.75">
      <c r="E53" s="110"/>
    </row>
    <row r="54" spans="4:5" ht="12.75">
      <c r="D54" s="110"/>
      <c r="E54" s="111"/>
    </row>
    <row r="55" spans="3:6" ht="14.25">
      <c r="C55" s="112"/>
      <c r="D55" s="113"/>
      <c r="E55" s="114"/>
      <c r="F55" s="113"/>
    </row>
    <row r="56" spans="3:6" ht="14.25">
      <c r="C56" s="112"/>
      <c r="D56" s="115"/>
      <c r="E56" s="115"/>
      <c r="F56" s="116"/>
    </row>
    <row r="57" spans="3:6" ht="14.25">
      <c r="C57" s="112"/>
      <c r="D57" s="115"/>
      <c r="E57" s="115"/>
      <c r="F57" s="116"/>
    </row>
    <row r="58" spans="4:6" ht="14.25">
      <c r="D58" s="115"/>
      <c r="E58" s="115"/>
      <c r="F58" s="115"/>
    </row>
  </sheetData>
  <sheetProtection password="DD94" sheet="1"/>
  <mergeCells count="2">
    <mergeCell ref="D2:E2"/>
    <mergeCell ref="D40:E40"/>
  </mergeCells>
  <printOptions/>
  <pageMargins left="0.5905511811023623" right="0.5905511811023623" top="0.7874015748031497" bottom="0.984251968503937" header="0" footer="0"/>
  <pageSetup horizontalDpi="600" verticalDpi="600" orientation="portrait" paperSize="9" scale="95" r:id="rId13"/>
  <drawing r:id="rId12"/>
  <legacyDrawing r:id="rId11"/>
  <oleObjects>
    <oleObject progId="CorelDraw.Gráfico.9" shapeId="205334" r:id="rId1"/>
    <oleObject progId="CorelDraw.Gráfico.9" shapeId="205344" r:id="rId2"/>
    <oleObject progId="CorelDraw.Gráfico.9" shapeId="113420" r:id="rId3"/>
    <oleObject progId="CorelDraw.Gráfico.9" shapeId="113421" r:id="rId4"/>
    <oleObject progId="CorelDraw.Gráfico.9" shapeId="136265" r:id="rId5"/>
    <oleObject progId="CorelDraw.Gráfico.9" shapeId="136269" r:id="rId6"/>
    <oleObject progId="CorelDraw.Gráfico.9" shapeId="136272" r:id="rId7"/>
    <oleObject progId="CorelDraw.Gráfico.9" shapeId="136275" r:id="rId8"/>
    <oleObject progId="CorelDraw.Gráfico.9" shapeId="136277" r:id="rId9"/>
    <oleObject progId="CorelDraw.Gráfico.9" shapeId="136278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N1">
      <selection activeCell="Y21" sqref="Y21"/>
    </sheetView>
  </sheetViews>
  <sheetFormatPr defaultColWidth="11.421875" defaultRowHeight="12.75"/>
  <cols>
    <col min="1" max="1" width="6.7109375" style="7" hidden="1" customWidth="1"/>
    <col min="2" max="2" width="7.7109375" style="8" hidden="1" customWidth="1"/>
    <col min="3" max="3" width="71.140625" style="8" hidden="1" customWidth="1"/>
    <col min="4" max="4" width="8.421875" style="8" hidden="1" customWidth="1"/>
    <col min="5" max="5" width="10.7109375" style="8" hidden="1" customWidth="1"/>
    <col min="6" max="6" width="13.140625" style="8" hidden="1" customWidth="1"/>
    <col min="7" max="7" width="10.421875" style="8" hidden="1" customWidth="1"/>
    <col min="8" max="8" width="7.140625" style="7" hidden="1" customWidth="1"/>
    <col min="9" max="9" width="12.7109375" style="10" hidden="1" customWidth="1"/>
    <col min="10" max="10" width="12.28125" style="10" hidden="1" customWidth="1"/>
    <col min="11" max="11" width="12.7109375" style="10" hidden="1" customWidth="1"/>
    <col min="12" max="12" width="0" style="7" hidden="1" customWidth="1"/>
    <col min="13" max="13" width="0" style="8" hidden="1" customWidth="1"/>
    <col min="14" max="16384" width="11.421875" style="8" customWidth="1"/>
  </cols>
  <sheetData>
    <row r="1" spans="6:11" ht="12">
      <c r="F1" s="9" t="s">
        <v>16</v>
      </c>
      <c r="K1" s="11"/>
    </row>
    <row r="2" spans="6:11" ht="12">
      <c r="F2" s="7">
        <v>4</v>
      </c>
      <c r="K2" s="7"/>
    </row>
    <row r="3" spans="5:7" ht="12">
      <c r="E3" s="26"/>
      <c r="G3" s="29"/>
    </row>
    <row r="4" ht="12">
      <c r="E4" s="27"/>
    </row>
    <row r="5" spans="1:11" ht="12">
      <c r="A5" s="12" t="s">
        <v>28</v>
      </c>
      <c r="B5" s="12" t="s">
        <v>29</v>
      </c>
      <c r="C5" s="12" t="s">
        <v>24</v>
      </c>
      <c r="D5" s="12" t="s">
        <v>29</v>
      </c>
      <c r="E5" s="12" t="s">
        <v>44</v>
      </c>
      <c r="F5" s="12" t="s">
        <v>43</v>
      </c>
      <c r="G5" s="12" t="s">
        <v>41</v>
      </c>
      <c r="H5" s="12" t="s">
        <v>42</v>
      </c>
      <c r="I5" s="12" t="s">
        <v>45</v>
      </c>
      <c r="J5" s="12" t="s">
        <v>20</v>
      </c>
      <c r="K5" s="12" t="s">
        <v>51</v>
      </c>
    </row>
    <row r="6" spans="1:12" ht="12">
      <c r="A6" s="13">
        <v>1</v>
      </c>
      <c r="B6" s="14" t="s">
        <v>57</v>
      </c>
      <c r="C6" s="15" t="s">
        <v>52</v>
      </c>
      <c r="D6" s="16" t="str">
        <f aca="true" t="shared" si="0" ref="D6:D20">B6</f>
        <v>V4</v>
      </c>
      <c r="E6" s="17">
        <f aca="true" t="shared" si="1" ref="E6:E20">F6*$F$2</f>
        <v>4970.143829999999</v>
      </c>
      <c r="F6" s="18">
        <f aca="true" t="shared" si="2" ref="F6:F20">I6*(1+G6)</f>
        <v>1242.5359574999998</v>
      </c>
      <c r="G6" s="19">
        <v>1.5005</v>
      </c>
      <c r="H6" s="19">
        <v>0.21</v>
      </c>
      <c r="I6" s="18">
        <f>(J6*(1+H6)+120)</f>
        <v>496.91499999999996</v>
      </c>
      <c r="J6" s="18">
        <f>199+112.5</f>
        <v>311.5</v>
      </c>
      <c r="K6" s="28">
        <f aca="true" t="shared" si="3" ref="K6:K20">E6*(1+11.97%)</f>
        <v>5565.070046450998</v>
      </c>
      <c r="L6" s="7">
        <v>4985</v>
      </c>
    </row>
    <row r="7" spans="1:13" ht="12">
      <c r="A7" s="13">
        <v>2</v>
      </c>
      <c r="B7" s="14" t="s">
        <v>58</v>
      </c>
      <c r="C7" s="15" t="s">
        <v>47</v>
      </c>
      <c r="D7" s="20" t="str">
        <f t="shared" si="0"/>
        <v>V8</v>
      </c>
      <c r="E7" s="17">
        <f t="shared" si="1"/>
        <v>7170.098784</v>
      </c>
      <c r="F7" s="18">
        <f t="shared" si="2"/>
        <v>1792.524696</v>
      </c>
      <c r="G7" s="19">
        <v>1.5316</v>
      </c>
      <c r="H7" s="19">
        <v>0.21</v>
      </c>
      <c r="I7" s="18">
        <f>(J7*(1+H7)+120)</f>
        <v>708.06</v>
      </c>
      <c r="J7" s="18">
        <f>319+167</f>
        <v>486</v>
      </c>
      <c r="K7" s="28">
        <f t="shared" si="3"/>
        <v>8028.359608444799</v>
      </c>
      <c r="L7" s="7">
        <v>7990</v>
      </c>
      <c r="M7" s="8">
        <v>112.5</v>
      </c>
    </row>
    <row r="8" spans="1:13" ht="12">
      <c r="A8" s="13">
        <v>3</v>
      </c>
      <c r="B8" s="14" t="s">
        <v>59</v>
      </c>
      <c r="C8" s="15" t="s">
        <v>48</v>
      </c>
      <c r="D8" s="20" t="str">
        <f t="shared" si="0"/>
        <v>V16</v>
      </c>
      <c r="E8" s="17">
        <f t="shared" si="1"/>
        <v>9490.279279999999</v>
      </c>
      <c r="F8" s="18">
        <f t="shared" si="2"/>
        <v>2372.5698199999997</v>
      </c>
      <c r="G8" s="19">
        <v>1.5295</v>
      </c>
      <c r="H8" s="19">
        <v>0.21</v>
      </c>
      <c r="I8" s="18">
        <f>(J8*(1+H8)+120)</f>
        <v>937.9599999999999</v>
      </c>
      <c r="J8" s="18">
        <f>509+167</f>
        <v>676</v>
      </c>
      <c r="K8" s="28">
        <f t="shared" si="3"/>
        <v>10626.265709815998</v>
      </c>
      <c r="L8" s="7">
        <v>12990</v>
      </c>
      <c r="M8" s="8">
        <v>167</v>
      </c>
    </row>
    <row r="9" spans="1:11" ht="12">
      <c r="A9" s="13">
        <v>4</v>
      </c>
      <c r="B9" s="1" t="s">
        <v>79</v>
      </c>
      <c r="C9" s="30" t="s">
        <v>80</v>
      </c>
      <c r="D9" s="20" t="str">
        <f t="shared" si="0"/>
        <v>C-D</v>
      </c>
      <c r="E9" s="17">
        <f t="shared" si="1"/>
        <v>1245.8159999999998</v>
      </c>
      <c r="F9" s="18">
        <f t="shared" si="2"/>
        <v>311.45399999999995</v>
      </c>
      <c r="G9" s="19">
        <v>3.29</v>
      </c>
      <c r="H9" s="19">
        <v>0.21</v>
      </c>
      <c r="I9" s="18">
        <f aca="true" t="shared" si="4" ref="I9:I20">(J9*(1+H9))</f>
        <v>72.6</v>
      </c>
      <c r="J9" s="18">
        <v>60</v>
      </c>
      <c r="K9" s="28">
        <f t="shared" si="3"/>
        <v>1394.9401751999997</v>
      </c>
    </row>
    <row r="10" spans="1:11" ht="12">
      <c r="A10" s="13">
        <v>5</v>
      </c>
      <c r="B10" s="1" t="s">
        <v>81</v>
      </c>
      <c r="C10" s="21" t="s">
        <v>63</v>
      </c>
      <c r="D10" s="20" t="str">
        <f t="shared" si="0"/>
        <v>C-B</v>
      </c>
      <c r="E10" s="17">
        <f t="shared" si="1"/>
        <v>1490.1392</v>
      </c>
      <c r="F10" s="18">
        <f t="shared" si="2"/>
        <v>372.5348</v>
      </c>
      <c r="G10" s="19">
        <v>2.8485</v>
      </c>
      <c r="H10" s="19">
        <v>0.21</v>
      </c>
      <c r="I10" s="18">
        <f t="shared" si="4"/>
        <v>96.8</v>
      </c>
      <c r="J10" s="18">
        <v>80</v>
      </c>
      <c r="K10" s="28">
        <f t="shared" si="3"/>
        <v>1668.5088622399999</v>
      </c>
    </row>
    <row r="11" spans="1:11" ht="12">
      <c r="A11" s="13">
        <v>6</v>
      </c>
      <c r="B11" s="14" t="s">
        <v>61</v>
      </c>
      <c r="C11" s="21" t="s">
        <v>40</v>
      </c>
      <c r="D11" s="20" t="str">
        <f t="shared" si="0"/>
        <v>C-LED</v>
      </c>
      <c r="E11" s="17">
        <f t="shared" si="1"/>
        <v>1490.01336</v>
      </c>
      <c r="F11" s="18">
        <f t="shared" si="2"/>
        <v>372.50334</v>
      </c>
      <c r="G11" s="19">
        <v>2.4206</v>
      </c>
      <c r="H11" s="19">
        <v>0.21</v>
      </c>
      <c r="I11" s="18">
        <f t="shared" si="4"/>
        <v>108.89999999999999</v>
      </c>
      <c r="J11" s="18">
        <f>68+10+12</f>
        <v>90</v>
      </c>
      <c r="K11" s="28">
        <f t="shared" si="3"/>
        <v>1668.3679591919997</v>
      </c>
    </row>
    <row r="12" spans="1:11" ht="12">
      <c r="A12" s="13">
        <v>7</v>
      </c>
      <c r="B12" s="14" t="s">
        <v>26</v>
      </c>
      <c r="C12" s="21" t="s">
        <v>27</v>
      </c>
      <c r="D12" s="20" t="str">
        <f t="shared" si="0"/>
        <v>VGA</v>
      </c>
      <c r="E12" s="17">
        <f t="shared" si="1"/>
        <v>580.8</v>
      </c>
      <c r="F12" s="18">
        <f t="shared" si="2"/>
        <v>145.2</v>
      </c>
      <c r="G12" s="19">
        <v>1</v>
      </c>
      <c r="H12" s="19">
        <v>0.21</v>
      </c>
      <c r="I12" s="18">
        <f t="shared" si="4"/>
        <v>72.6</v>
      </c>
      <c r="J12" s="18">
        <v>60</v>
      </c>
      <c r="K12" s="28">
        <f t="shared" si="3"/>
        <v>650.3217599999999</v>
      </c>
    </row>
    <row r="13" spans="1:11" ht="12">
      <c r="A13" s="13">
        <v>8</v>
      </c>
      <c r="B13" s="14" t="s">
        <v>49</v>
      </c>
      <c r="C13" s="21" t="s">
        <v>50</v>
      </c>
      <c r="D13" s="20" t="str">
        <f t="shared" si="0"/>
        <v>TC</v>
      </c>
      <c r="E13" s="17">
        <f t="shared" si="1"/>
        <v>345.2</v>
      </c>
      <c r="F13" s="18">
        <v>86.3</v>
      </c>
      <c r="G13" s="19">
        <v>1.0015</v>
      </c>
      <c r="H13" s="19">
        <v>0.21</v>
      </c>
      <c r="I13" s="18">
        <f t="shared" si="4"/>
        <v>42.35</v>
      </c>
      <c r="J13" s="18">
        <v>35</v>
      </c>
      <c r="K13" s="28">
        <f t="shared" si="3"/>
        <v>386.52043999999995</v>
      </c>
    </row>
    <row r="14" spans="1:11" ht="12">
      <c r="A14" s="13">
        <v>9</v>
      </c>
      <c r="B14" s="1" t="s">
        <v>77</v>
      </c>
      <c r="C14" s="21" t="s">
        <v>46</v>
      </c>
      <c r="D14" s="20" t="str">
        <f t="shared" si="0"/>
        <v>D500</v>
      </c>
      <c r="E14" s="17">
        <f t="shared" si="1"/>
        <v>970</v>
      </c>
      <c r="F14" s="18">
        <f t="shared" si="2"/>
        <v>242.5</v>
      </c>
      <c r="G14" s="19">
        <v>0</v>
      </c>
      <c r="H14" s="19">
        <v>0</v>
      </c>
      <c r="I14" s="18">
        <f t="shared" si="4"/>
        <v>242.5</v>
      </c>
      <c r="J14" s="18">
        <f>970/4</f>
        <v>242.5</v>
      </c>
      <c r="K14" s="28">
        <f t="shared" si="3"/>
        <v>1086.109</v>
      </c>
    </row>
    <row r="15" spans="1:11" ht="12">
      <c r="A15" s="13">
        <v>10</v>
      </c>
      <c r="B15" s="1" t="s">
        <v>78</v>
      </c>
      <c r="C15" s="21" t="s">
        <v>65</v>
      </c>
      <c r="D15" s="20" t="str">
        <f t="shared" si="0"/>
        <v>D1000</v>
      </c>
      <c r="E15" s="17">
        <f t="shared" si="1"/>
        <v>1370</v>
      </c>
      <c r="F15" s="18">
        <f t="shared" si="2"/>
        <v>342.5</v>
      </c>
      <c r="G15" s="19">
        <v>0</v>
      </c>
      <c r="H15" s="19">
        <v>0</v>
      </c>
      <c r="I15" s="18">
        <f t="shared" si="4"/>
        <v>342.5</v>
      </c>
      <c r="J15" s="18">
        <f>1370/4</f>
        <v>342.5</v>
      </c>
      <c r="K15" s="28">
        <f t="shared" si="3"/>
        <v>1533.9889999999998</v>
      </c>
    </row>
    <row r="16" spans="1:11" ht="12">
      <c r="A16" s="13">
        <v>11</v>
      </c>
      <c r="B16" s="14" t="s">
        <v>33</v>
      </c>
      <c r="C16" s="21" t="s">
        <v>34</v>
      </c>
      <c r="D16" s="20" t="str">
        <f t="shared" si="0"/>
        <v>LS</v>
      </c>
      <c r="E16" s="17">
        <f t="shared" si="1"/>
        <v>590.238</v>
      </c>
      <c r="F16" s="18">
        <f t="shared" si="2"/>
        <v>147.5595</v>
      </c>
      <c r="G16" s="19">
        <v>3.878</v>
      </c>
      <c r="H16" s="19">
        <v>0.21</v>
      </c>
      <c r="I16" s="18">
        <f t="shared" si="4"/>
        <v>30.25</v>
      </c>
      <c r="J16" s="18">
        <v>25</v>
      </c>
      <c r="K16" s="28">
        <f t="shared" si="3"/>
        <v>660.8894886</v>
      </c>
    </row>
    <row r="17" spans="1:11" ht="12">
      <c r="A17" s="13">
        <v>12</v>
      </c>
      <c r="B17" s="14" t="s">
        <v>32</v>
      </c>
      <c r="C17" s="21" t="s">
        <v>31</v>
      </c>
      <c r="D17" s="20" t="str">
        <f t="shared" si="0"/>
        <v>I</v>
      </c>
      <c r="E17" s="17">
        <f t="shared" si="1"/>
        <v>0</v>
      </c>
      <c r="F17" s="18">
        <f t="shared" si="2"/>
        <v>0</v>
      </c>
      <c r="G17" s="19">
        <v>2</v>
      </c>
      <c r="H17" s="19">
        <v>0.21</v>
      </c>
      <c r="I17" s="18">
        <f t="shared" si="4"/>
        <v>0</v>
      </c>
      <c r="J17" s="18"/>
      <c r="K17" s="28">
        <f t="shared" si="3"/>
        <v>0</v>
      </c>
    </row>
    <row r="18" spans="1:11" ht="12">
      <c r="A18" s="13">
        <v>13</v>
      </c>
      <c r="B18" s="14" t="s">
        <v>35</v>
      </c>
      <c r="C18" s="21" t="s">
        <v>36</v>
      </c>
      <c r="D18" s="20" t="str">
        <f t="shared" si="0"/>
        <v>A</v>
      </c>
      <c r="E18" s="17">
        <f t="shared" si="1"/>
        <v>0</v>
      </c>
      <c r="F18" s="18">
        <f t="shared" si="2"/>
        <v>0</v>
      </c>
      <c r="G18" s="19">
        <v>0</v>
      </c>
      <c r="H18" s="19">
        <v>0.21</v>
      </c>
      <c r="I18" s="18">
        <f t="shared" si="4"/>
        <v>0</v>
      </c>
      <c r="J18" s="18"/>
      <c r="K18" s="28">
        <f t="shared" si="3"/>
        <v>0</v>
      </c>
    </row>
    <row r="19" spans="1:11" ht="12">
      <c r="A19" s="13">
        <v>14</v>
      </c>
      <c r="B19" s="14" t="s">
        <v>37</v>
      </c>
      <c r="C19" s="21" t="s">
        <v>38</v>
      </c>
      <c r="D19" s="20" t="str">
        <f t="shared" si="0"/>
        <v>B</v>
      </c>
      <c r="E19" s="17">
        <f t="shared" si="1"/>
        <v>0</v>
      </c>
      <c r="F19" s="18">
        <f t="shared" si="2"/>
        <v>0</v>
      </c>
      <c r="G19" s="19">
        <v>0</v>
      </c>
      <c r="H19" s="19">
        <v>0.21</v>
      </c>
      <c r="I19" s="18">
        <f t="shared" si="4"/>
        <v>0</v>
      </c>
      <c r="J19" s="18"/>
      <c r="K19" s="28">
        <f t="shared" si="3"/>
        <v>0</v>
      </c>
    </row>
    <row r="20" spans="1:11" ht="12">
      <c r="A20" s="13">
        <v>15</v>
      </c>
      <c r="B20" s="14" t="s">
        <v>75</v>
      </c>
      <c r="C20" s="21" t="s">
        <v>76</v>
      </c>
      <c r="D20" s="20" t="str">
        <f t="shared" si="0"/>
        <v>DOMO</v>
      </c>
      <c r="E20" s="17">
        <f t="shared" si="1"/>
        <v>9680</v>
      </c>
      <c r="F20" s="18">
        <f t="shared" si="2"/>
        <v>2420</v>
      </c>
      <c r="G20" s="19">
        <v>1.5</v>
      </c>
      <c r="H20" s="19">
        <v>0.21</v>
      </c>
      <c r="I20" s="18">
        <f t="shared" si="4"/>
        <v>968</v>
      </c>
      <c r="J20" s="18">
        <f>800</f>
        <v>800</v>
      </c>
      <c r="K20" s="28">
        <f t="shared" si="3"/>
        <v>10838.696</v>
      </c>
    </row>
    <row r="21" spans="1:11" ht="12">
      <c r="A21" s="13">
        <v>16</v>
      </c>
      <c r="B21" s="14" t="s">
        <v>67</v>
      </c>
      <c r="C21" s="21" t="s">
        <v>68</v>
      </c>
      <c r="D21" s="20" t="str">
        <f aca="true" t="shared" si="5" ref="D21:D36">B21</f>
        <v>DVR</v>
      </c>
      <c r="E21" s="17">
        <f>F21*$F$2</f>
        <v>1490</v>
      </c>
      <c r="F21" s="18">
        <f aca="true" t="shared" si="6" ref="F21:F26">I21*(1+G21)</f>
        <v>372.5</v>
      </c>
      <c r="G21" s="19">
        <v>0</v>
      </c>
      <c r="H21" s="19">
        <v>0</v>
      </c>
      <c r="I21" s="18">
        <f aca="true" t="shared" si="7" ref="I21:I26">(J21*(1+H21))</f>
        <v>372.5</v>
      </c>
      <c r="J21" s="18">
        <f>1490/4</f>
        <v>372.5</v>
      </c>
      <c r="K21" s="28">
        <f aca="true" t="shared" si="8" ref="K21:K26">E21*(1+11.97%)</f>
        <v>1668.3529999999998</v>
      </c>
    </row>
    <row r="22" spans="1:11" ht="12">
      <c r="A22" s="13">
        <v>17</v>
      </c>
      <c r="B22" s="14" t="s">
        <v>69</v>
      </c>
      <c r="C22" s="21" t="s">
        <v>70</v>
      </c>
      <c r="D22" s="20" t="str">
        <f t="shared" si="5"/>
        <v>CAJA</v>
      </c>
      <c r="E22" s="17">
        <f>F22*$F$2</f>
        <v>1950.2073360000002</v>
      </c>
      <c r="F22" s="18">
        <f t="shared" si="6"/>
        <v>487.55183400000004</v>
      </c>
      <c r="G22" s="19">
        <v>1.264</v>
      </c>
      <c r="H22" s="19">
        <v>0.21</v>
      </c>
      <c r="I22" s="18">
        <f t="shared" si="7"/>
        <v>215.34975</v>
      </c>
      <c r="J22" s="18">
        <f>711.9/4</f>
        <v>177.975</v>
      </c>
      <c r="K22" s="28">
        <f t="shared" si="8"/>
        <v>2183.6471541192</v>
      </c>
    </row>
    <row r="23" spans="1:11" ht="12">
      <c r="A23" s="13">
        <v>18</v>
      </c>
      <c r="B23" s="14" t="s">
        <v>71</v>
      </c>
      <c r="C23" s="21" t="s">
        <v>72</v>
      </c>
      <c r="D23" s="20" t="str">
        <f t="shared" si="5"/>
        <v>BAT</v>
      </c>
      <c r="E23" s="17">
        <f>F23*$F$2</f>
        <v>390</v>
      </c>
      <c r="F23" s="18">
        <f t="shared" si="6"/>
        <v>97.5</v>
      </c>
      <c r="G23" s="19">
        <v>0</v>
      </c>
      <c r="H23" s="19">
        <v>0</v>
      </c>
      <c r="I23" s="18">
        <f t="shared" si="7"/>
        <v>97.5</v>
      </c>
      <c r="J23" s="18">
        <f>390/4</f>
        <v>97.5</v>
      </c>
      <c r="K23" s="28">
        <f t="shared" si="8"/>
        <v>436.683</v>
      </c>
    </row>
    <row r="24" spans="1:11" ht="12">
      <c r="A24" s="13">
        <v>19</v>
      </c>
      <c r="B24" s="14" t="s">
        <v>73</v>
      </c>
      <c r="C24" s="21" t="s">
        <v>74</v>
      </c>
      <c r="D24" s="20" t="str">
        <f t="shared" si="5"/>
        <v>SERV</v>
      </c>
      <c r="E24" s="17">
        <f>F24*$F$2</f>
        <v>1190</v>
      </c>
      <c r="F24" s="18">
        <f t="shared" si="6"/>
        <v>297.5</v>
      </c>
      <c r="G24" s="19">
        <v>0</v>
      </c>
      <c r="H24" s="19">
        <v>0</v>
      </c>
      <c r="I24" s="18">
        <f t="shared" si="7"/>
        <v>297.5</v>
      </c>
      <c r="J24" s="18">
        <f>1190/4</f>
        <v>297.5</v>
      </c>
      <c r="K24" s="28">
        <f t="shared" si="8"/>
        <v>1332.443</v>
      </c>
    </row>
    <row r="25" spans="1:11" ht="12">
      <c r="A25" s="13">
        <v>20</v>
      </c>
      <c r="B25" s="1" t="s">
        <v>82</v>
      </c>
      <c r="C25" s="30" t="s">
        <v>46</v>
      </c>
      <c r="D25" s="20" t="str">
        <f t="shared" si="5"/>
        <v>D500-</v>
      </c>
      <c r="E25" s="17">
        <f>F25*$F$2*-1</f>
        <v>-824.985</v>
      </c>
      <c r="F25" s="18">
        <f t="shared" si="6"/>
        <v>206.24625</v>
      </c>
      <c r="G25" s="19">
        <v>-0.1495</v>
      </c>
      <c r="H25" s="19">
        <v>0</v>
      </c>
      <c r="I25" s="18">
        <f t="shared" si="7"/>
        <v>242.5</v>
      </c>
      <c r="J25" s="18">
        <f>970/4</f>
        <v>242.5</v>
      </c>
      <c r="K25" s="28">
        <f t="shared" si="8"/>
        <v>-923.7357045</v>
      </c>
    </row>
    <row r="26" spans="1:11" ht="12">
      <c r="A26" s="13">
        <v>21</v>
      </c>
      <c r="B26" s="1" t="s">
        <v>83</v>
      </c>
      <c r="C26" s="21" t="s">
        <v>65</v>
      </c>
      <c r="D26" s="20" t="str">
        <f t="shared" si="5"/>
        <v>D1000-</v>
      </c>
      <c r="E26" s="17">
        <f>F26*$F$2*-1</f>
        <v>-1165.185</v>
      </c>
      <c r="F26" s="18">
        <f t="shared" si="6"/>
        <v>291.29625</v>
      </c>
      <c r="G26" s="19">
        <v>-0.1495</v>
      </c>
      <c r="H26" s="19">
        <v>0</v>
      </c>
      <c r="I26" s="18">
        <f t="shared" si="7"/>
        <v>342.5</v>
      </c>
      <c r="J26" s="18">
        <f>1370/4</f>
        <v>342.5</v>
      </c>
      <c r="K26" s="28">
        <f t="shared" si="8"/>
        <v>-1304.6576444999998</v>
      </c>
    </row>
    <row r="27" spans="1:11" ht="12">
      <c r="A27" s="13">
        <v>22</v>
      </c>
      <c r="B27" s="14"/>
      <c r="C27" s="21"/>
      <c r="D27" s="20">
        <f t="shared" si="5"/>
        <v>0</v>
      </c>
      <c r="E27" s="22"/>
      <c r="F27" s="23"/>
      <c r="G27" s="16"/>
      <c r="H27" s="24"/>
      <c r="I27" s="18"/>
      <c r="J27" s="25"/>
      <c r="K27" s="25"/>
    </row>
    <row r="28" spans="1:11" ht="12">
      <c r="A28" s="13">
        <v>23</v>
      </c>
      <c r="B28" s="14"/>
      <c r="C28" s="21"/>
      <c r="D28" s="20">
        <f t="shared" si="5"/>
        <v>0</v>
      </c>
      <c r="E28" s="22"/>
      <c r="F28" s="23"/>
      <c r="G28" s="16"/>
      <c r="H28" s="24"/>
      <c r="I28" s="18"/>
      <c r="J28" s="25"/>
      <c r="K28" s="25"/>
    </row>
    <row r="29" spans="1:11" ht="12">
      <c r="A29" s="13">
        <v>24</v>
      </c>
      <c r="B29" s="14"/>
      <c r="C29" s="21"/>
      <c r="D29" s="20">
        <f t="shared" si="5"/>
        <v>0</v>
      </c>
      <c r="E29" s="22"/>
      <c r="F29" s="23"/>
      <c r="G29" s="16"/>
      <c r="H29" s="24"/>
      <c r="I29" s="18"/>
      <c r="J29" s="25"/>
      <c r="K29" s="25"/>
    </row>
    <row r="30" spans="1:11" ht="12">
      <c r="A30" s="13">
        <v>25</v>
      </c>
      <c r="B30" s="14"/>
      <c r="C30" s="21"/>
      <c r="D30" s="20">
        <f t="shared" si="5"/>
        <v>0</v>
      </c>
      <c r="E30" s="22"/>
      <c r="F30" s="23"/>
      <c r="G30" s="16"/>
      <c r="H30" s="24"/>
      <c r="I30" s="18"/>
      <c r="J30" s="25"/>
      <c r="K30" s="25"/>
    </row>
    <row r="31" spans="1:11" ht="12">
      <c r="A31" s="13">
        <v>26</v>
      </c>
      <c r="B31" s="14"/>
      <c r="C31" s="21"/>
      <c r="D31" s="20">
        <f t="shared" si="5"/>
        <v>0</v>
      </c>
      <c r="E31" s="22"/>
      <c r="F31" s="23"/>
      <c r="G31" s="16"/>
      <c r="H31" s="24"/>
      <c r="I31" s="18"/>
      <c r="J31" s="25"/>
      <c r="K31" s="25"/>
    </row>
    <row r="32" spans="1:11" ht="12">
      <c r="A32" s="13">
        <v>27</v>
      </c>
      <c r="B32" s="14"/>
      <c r="C32" s="21"/>
      <c r="D32" s="20">
        <f t="shared" si="5"/>
        <v>0</v>
      </c>
      <c r="E32" s="22"/>
      <c r="F32" s="23"/>
      <c r="G32" s="16"/>
      <c r="H32" s="24"/>
      <c r="I32" s="18"/>
      <c r="J32" s="25"/>
      <c r="K32" s="25"/>
    </row>
    <row r="33" spans="1:11" ht="12">
      <c r="A33" s="13">
        <v>28</v>
      </c>
      <c r="B33" s="14"/>
      <c r="C33" s="21"/>
      <c r="D33" s="20">
        <f t="shared" si="5"/>
        <v>0</v>
      </c>
      <c r="E33" s="22"/>
      <c r="F33" s="23"/>
      <c r="G33" s="16"/>
      <c r="H33" s="24"/>
      <c r="I33" s="18"/>
      <c r="J33" s="25"/>
      <c r="K33" s="25"/>
    </row>
    <row r="34" spans="1:11" ht="12">
      <c r="A34" s="13">
        <v>29</v>
      </c>
      <c r="B34" s="14"/>
      <c r="C34" s="21"/>
      <c r="D34" s="20">
        <f t="shared" si="5"/>
        <v>0</v>
      </c>
      <c r="E34" s="22"/>
      <c r="F34" s="23"/>
      <c r="G34" s="16"/>
      <c r="H34" s="24"/>
      <c r="I34" s="18"/>
      <c r="J34" s="25"/>
      <c r="K34" s="25"/>
    </row>
    <row r="35" spans="1:11" ht="12">
      <c r="A35" s="13">
        <v>30</v>
      </c>
      <c r="B35" s="14"/>
      <c r="C35" s="21"/>
      <c r="D35" s="20">
        <f t="shared" si="5"/>
        <v>0</v>
      </c>
      <c r="E35" s="22"/>
      <c r="F35" s="23"/>
      <c r="G35" s="16"/>
      <c r="H35" s="24"/>
      <c r="I35" s="18"/>
      <c r="J35" s="25"/>
      <c r="K35" s="25"/>
    </row>
    <row r="36" spans="1:11" ht="12">
      <c r="A36" s="13">
        <v>31</v>
      </c>
      <c r="B36" s="14"/>
      <c r="C36" s="21"/>
      <c r="D36" s="20">
        <f t="shared" si="5"/>
        <v>0</v>
      </c>
      <c r="E36" s="22"/>
      <c r="F36" s="23"/>
      <c r="G36" s="16"/>
      <c r="H36" s="24"/>
      <c r="I36" s="18"/>
      <c r="J36" s="25"/>
      <c r="K36" s="25"/>
    </row>
  </sheetData>
  <sheetProtection password="DD94" sheet="1" objects="1" scenarios="1" selectLockedCells="1" selectUnlockedCells="1"/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2011-08-15T19:34:34Z</cp:lastPrinted>
  <dcterms:created xsi:type="dcterms:W3CDTF">1996-11-27T10:00:04Z</dcterms:created>
  <dcterms:modified xsi:type="dcterms:W3CDTF">2011-12-05T23:29:17Z</dcterms:modified>
  <cp:category/>
  <cp:version/>
  <cp:contentType/>
  <cp:contentStatus/>
</cp:coreProperties>
</file>